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I:\Homework\Cloudwork\45. Sam Lai Chau\4. Trien khai thuc hien Nghi quyet\4.7. Chinh sach dac thu phat trien Sam Lai Chau\2. Soan thao Nghi quyet\"/>
    </mc:Choice>
  </mc:AlternateContent>
  <xr:revisionPtr revIDLastSave="0" documentId="13_ncr:1_{B08DE60D-81EF-45DA-9817-0B814C28820F}" xr6:coauthVersionLast="47" xr6:coauthVersionMax="47" xr10:uidLastSave="{00000000-0000-0000-0000-000000000000}"/>
  <bookViews>
    <workbookView xWindow="810" yWindow="-120" windowWidth="19710" windowHeight="11760" activeTab="2" xr2:uid="{00000000-000D-0000-FFFF-FFFF00000000}"/>
  </bookViews>
  <sheets>
    <sheet name="DT-VGG" sheetId="1" r:id="rId1"/>
    <sheet name="DT-CSSXG" sheetId="2" r:id="rId2"/>
    <sheet name="DK-Nhucau" sheetId="3" r:id="rId3"/>
  </sheets>
  <definedNames>
    <definedName name="_xlnm.Print_Titles" localSheetId="2">'DK-Nhucau'!$3:$4</definedName>
    <definedName name="_xlnm.Print_Titles" localSheetId="0">'DT-VGG'!$3:$3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H5" i="3"/>
  <c r="G5" i="3"/>
  <c r="F5" i="3"/>
  <c r="E5" i="3"/>
  <c r="C5" i="3"/>
  <c r="J5" i="3"/>
  <c r="J6" i="3"/>
  <c r="D6" i="3"/>
  <c r="C6" i="3"/>
  <c r="J8" i="3"/>
  <c r="J7" i="3"/>
  <c r="J9" i="3"/>
  <c r="J10" i="3"/>
  <c r="E6" i="2"/>
  <c r="J12" i="3" l="1"/>
  <c r="J11" i="3"/>
  <c r="H10" i="2" l="1"/>
  <c r="H9" i="2" s="1"/>
  <c r="G7" i="2"/>
  <c r="H8" i="2"/>
  <c r="F6" i="2"/>
  <c r="E7" i="2" s="1"/>
  <c r="F7" i="2" s="1"/>
  <c r="H7" i="2" s="1"/>
  <c r="I6" i="1"/>
  <c r="K8" i="1"/>
  <c r="H6" i="2" l="1"/>
  <c r="H5" i="2" s="1"/>
  <c r="H4" i="2" s="1"/>
  <c r="J7" i="1"/>
  <c r="G16" i="1"/>
  <c r="G22" i="1" s="1"/>
  <c r="H17" i="1"/>
  <c r="H26" i="1"/>
  <c r="H23" i="1"/>
  <c r="H20" i="1"/>
  <c r="G13" i="1" l="1"/>
  <c r="G7" i="1"/>
  <c r="H16" i="1"/>
  <c r="G14" i="1"/>
  <c r="H14" i="1" s="1"/>
  <c r="K6" i="1"/>
  <c r="H13" i="1"/>
  <c r="H15" i="1"/>
  <c r="G19" i="1"/>
  <c r="H19" i="1" s="1"/>
  <c r="H18" i="1" s="1"/>
  <c r="G28" i="1" s="1"/>
  <c r="H28" i="1" s="1"/>
  <c r="H22" i="1"/>
  <c r="H21" i="1" s="1"/>
  <c r="G29" i="1" s="1"/>
  <c r="H29" i="1" s="1"/>
  <c r="I7" i="1" l="1"/>
  <c r="K7" i="1" s="1"/>
  <c r="K5" i="1" s="1"/>
  <c r="H12" i="1"/>
  <c r="H11" i="1" s="1"/>
  <c r="G27" i="1" s="1"/>
  <c r="H27" i="1" s="1"/>
  <c r="H25" i="1" s="1"/>
  <c r="H24" i="1" s="1"/>
  <c r="K24" i="1" s="1"/>
  <c r="H10" i="1" l="1"/>
  <c r="K10" i="1" s="1"/>
  <c r="K9" i="1" s="1"/>
  <c r="K4" i="1" s="1"/>
  <c r="H9" i="1" l="1"/>
</calcChain>
</file>

<file path=xl/sharedStrings.xml><?xml version="1.0" encoding="utf-8"?>
<sst xmlns="http://schemas.openxmlformats.org/spreadsheetml/2006/main" count="129" uniqueCount="87">
  <si>
    <t>TT</t>
  </si>
  <si>
    <t>Hạng mục</t>
  </si>
  <si>
    <t>Đơn vị tính</t>
  </si>
  <si>
    <t>Hệ số chuyển đổi cự ly di chuyển</t>
  </si>
  <si>
    <t>Hệ số chuyển đổi độ dốc</t>
  </si>
  <si>
    <t>Mức công lao động</t>
  </si>
  <si>
    <t>I</t>
  </si>
  <si>
    <t>Vật tư</t>
  </si>
  <si>
    <t>Cây giống</t>
  </si>
  <si>
    <t>Phân bón (bón lót - phân hữu cơ vi sinh)</t>
  </si>
  <si>
    <t>Kg/cây</t>
  </si>
  <si>
    <t>%</t>
  </si>
  <si>
    <t>II</t>
  </si>
  <si>
    <t>Nhân công lao động</t>
  </si>
  <si>
    <t>Lao động trực tiếp</t>
  </si>
  <si>
    <t>1.1</t>
  </si>
  <si>
    <t>Năm thứ nhất</t>
  </si>
  <si>
    <t>1.1.1</t>
  </si>
  <si>
    <t>Công lao động gây trồng</t>
  </si>
  <si>
    <t>-</t>
  </si>
  <si>
    <t>Vận chuyển và bón phân</t>
  </si>
  <si>
    <t>Công/1.000 cây</t>
  </si>
  <si>
    <t>Vận chuyển cây con và trồng</t>
  </si>
  <si>
    <t>1.1.2</t>
  </si>
  <si>
    <t>Chăm sóc năm thứ nhất</t>
  </si>
  <si>
    <t>Chăm sóc (nhổ cỏ, phá váng) - 1 năm chăm sóc 4 lần</t>
  </si>
  <si>
    <r>
      <t>m</t>
    </r>
    <r>
      <rPr>
        <vertAlign val="superscript"/>
        <sz val="12"/>
        <color theme="1"/>
        <rFont val="Times New Roman"/>
        <family val="1"/>
      </rPr>
      <t>2</t>
    </r>
    <r>
      <rPr>
        <sz val="12"/>
        <color theme="1"/>
        <rFont val="Times New Roman"/>
        <family val="1"/>
      </rPr>
      <t>/công/lần chăm sóc</t>
    </r>
  </si>
  <si>
    <t>Bảo vệ cây trồng</t>
  </si>
  <si>
    <t>Công/ha</t>
  </si>
  <si>
    <t>1.2</t>
  </si>
  <si>
    <t>Chăm sóc năm thứ 2</t>
  </si>
  <si>
    <r>
      <t>m</t>
    </r>
    <r>
      <rPr>
        <vertAlign val="superscript"/>
        <sz val="12"/>
        <color theme="1"/>
        <rFont val="Times New Roman"/>
        <family val="1"/>
      </rPr>
      <t>2</t>
    </r>
    <r>
      <rPr>
        <sz val="12"/>
        <color theme="1"/>
        <rFont val="Times New Roman"/>
        <family val="1"/>
      </rPr>
      <t>/công</t>
    </r>
  </si>
  <si>
    <t>1.3</t>
  </si>
  <si>
    <t>Chăm sóc năm thứ 3</t>
  </si>
  <si>
    <t>Lao động gián tiếp</t>
  </si>
  <si>
    <t>2.1</t>
  </si>
  <si>
    <t>Thiết kế</t>
  </si>
  <si>
    <t>Công</t>
  </si>
  <si>
    <t>Lao động quản lý, giám sát, chỉ đạo kỹ thuật, nghiệm thu</t>
  </si>
  <si>
    <t>2.2</t>
  </si>
  <si>
    <t>Năm thứ 2 (Lao động quản lý, giám sát, chỉ đạo kỹ thuật, nghiệm thu)</t>
  </si>
  <si>
    <t>2.3</t>
  </si>
  <si>
    <t>Năm thứ 3 (Lao động quản lý, giám sát, chỉ đạo kỹ thuật, nghiệm thu)</t>
  </si>
  <si>
    <t>Mức vật tư</t>
  </si>
  <si>
    <t>Thành tiền (triệu đồng)</t>
  </si>
  <si>
    <t>Đơn giá (đồng)</t>
  </si>
  <si>
    <t>Nhà màng</t>
  </si>
  <si>
    <t>Cây/ha</t>
  </si>
  <si>
    <t>Định mức</t>
  </si>
  <si>
    <t>Khối lượng</t>
  </si>
  <si>
    <t>(Kèm theo Tờ trình số           /TTr-UBND ngày        tháng      năm 2025 của Ủy ban nhân dân tỉnh Lai Châu)</t>
  </si>
  <si>
    <t>Tổng</t>
  </si>
  <si>
    <t>Vườn giống</t>
  </si>
  <si>
    <t>Vật tư, hạ tầng xây dựng cơ sở sản xuất giống</t>
  </si>
  <si>
    <t>Khu vực gieo ươm cây giống</t>
  </si>
  <si>
    <r>
      <t>m</t>
    </r>
    <r>
      <rPr>
        <vertAlign val="superscript"/>
        <sz val="12"/>
        <color theme="1"/>
        <rFont val="Times New Roman"/>
        <family val="1"/>
      </rPr>
      <t>2</t>
    </r>
  </si>
  <si>
    <t>Phụ lục 03: DỰ KIẾN NHU CẦU NGUỒN LỰC THỰC HIỆN CHÍNH SÁCH</t>
  </si>
  <si>
    <t>(Kèm theo Tờ trình số          /TTr-UBND ngày       tháng      năm 2025 của Ủy ban nhân dân tỉnh Lai Châu)</t>
  </si>
  <si>
    <t>Chính sách hỗ trợ</t>
  </si>
  <si>
    <t>Dự kiến quy mô hỗ trợ</t>
  </si>
  <si>
    <t>Dự kiến kinh phí hỗ trợ</t>
  </si>
  <si>
    <t>Mức hỗ trợ</t>
  </si>
  <si>
    <t>Hỗ trợ xây dựng vườn sưu tập giống, vườn giống gốc</t>
  </si>
  <si>
    <t>Hỗ trợ hạ tầng nhà màng cơ sở sản xuất giống</t>
  </si>
  <si>
    <t>Hỗ trợ nghiên cứu khoa học</t>
  </si>
  <si>
    <t>Vườn sưu tập (vườn)</t>
  </si>
  <si>
    <t>Vườn giống gốc (vườn)</t>
  </si>
  <si>
    <t>Cơ sở sản xuất giống (cơ sở)</t>
  </si>
  <si>
    <t>Diện tích phát triển Sâm Lai Châu (ha)</t>
  </si>
  <si>
    <t>Nghiên cứu khoa học (nhiệm vụ)</t>
  </si>
  <si>
    <t>Hỗ trợ hạ tầng giao thông (km)</t>
  </si>
  <si>
    <t>Nhu cầu kinh phí (triệu đồng)</t>
  </si>
  <si>
    <t>Tối đa 01 tỷ đồng/nhiệm vụ</t>
  </si>
  <si>
    <t>450 triệu đồng/km</t>
  </si>
  <si>
    <t>Hỗ trợ chuyển đổi cơ cấu cây trồng để tham gia liên kết (thực hiện 1.000 ha, diện tích còn lại dự kiến thực hiện theo hình thức thuê môi trường rừng)</t>
  </si>
  <si>
    <t>Hỗ trợ hạ tầng giao thông (hỗ trợ, đầu tư hạ tầng thiết yếu khác lồng ghép với các dự án đầu tư công về cơ sở hạ tầng phục vụ phát triển kinh tế - xã hội của tỉnh)</t>
  </si>
  <si>
    <r>
      <t xml:space="preserve">Khối lượng </t>
    </r>
    <r>
      <rPr>
        <sz val="12"/>
        <color theme="1"/>
        <rFont val="Times New Roman"/>
        <family val="1"/>
      </rPr>
      <t>(cho 2.500 m</t>
    </r>
    <r>
      <rPr>
        <vertAlign val="superscript"/>
        <sz val="12"/>
        <color theme="1"/>
        <rFont val="Times New Roman"/>
        <family val="1"/>
      </rPr>
      <t>2</t>
    </r>
    <r>
      <rPr>
        <sz val="12"/>
        <color theme="1"/>
        <rFont val="Times New Roman"/>
        <family val="1"/>
      </rPr>
      <t>)</t>
    </r>
  </si>
  <si>
    <t>Phụ lục 02: DỰ TOÁN CHI PHÍ VẬT TƯ, HẠ TẦNG XÂY DỰNG CƠ SỞ SẢN XUẤT GIỐNG CÓ NĂNG LỰC SẢN XUẤT KHOẢNG 500.000 CÂY GIỐNG/NĂM</t>
  </si>
  <si>
    <t>* Định mức áp dụng theo quy định tại Quyết định số 1465/QĐ-UBND ngày 17 tháng 10 năm 2024 của UBND tỉnh Lai Châu ban hành Quy trình tạm thời kỹ thuật nhân giống, trồng, chăm sóc cây Sâm Lai Châu trên địa bàn tỉnh Lai Châu</t>
  </si>
  <si>
    <t>Phụ lục 01: DỰ TOÁN CHI PHÍ XÂY DỰNG VƯỜN GIỐNG GỐC QUY MÔ 2.500 M2</t>
  </si>
  <si>
    <t>Tối đa 01 tỷ đồng/vườn sưu tập, tối đa 500 triệu đồng/vườn giống gốc</t>
  </si>
  <si>
    <t>Tối đa 2 tỷ đồng/cơ sở</t>
  </si>
  <si>
    <t>60 triệu đồng/ha đất trống; 20 triệu đồng/ha đất có rừng</t>
  </si>
  <si>
    <t>Hỗ trợ xây dựng vườn sưu tập giống</t>
  </si>
  <si>
    <t>Hỗ trợ xây dựng vườn giống gốc</t>
  </si>
  <si>
    <t>Tối đa 01 tỷ đồng/vườn sưu tập</t>
  </si>
  <si>
    <t>Tối đa 500 triệu đồng/vườn giống gốc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</si>
</sst>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vertAlign val="superscript"/>
      <sz val="12"/>
      <color theme="1"/>
      <name val="Times New Roman"/>
      <family val="1"/>
    </font>
    <font>
      <sz val="11"/>
      <color theme="1"/>
      <name val="Times New Roman"/>
      <family val="1"/>
    </font>
    <font>
      <i/>
      <sz val="11"/>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vertical="center" wrapText="1"/>
    </xf>
    <xf numFmtId="4" fontId="2"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3" fontId="1"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2" fillId="0" borderId="1" xfId="0" applyNumberFormat="1" applyFont="1" applyBorder="1" applyAlignment="1">
      <alignment vertical="center" wrapText="1"/>
    </xf>
    <xf numFmtId="0" fontId="2" fillId="0" borderId="0" xfId="0" applyFont="1"/>
    <xf numFmtId="0" fontId="1" fillId="0" borderId="0" xfId="0" applyFont="1"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1" fillId="0" borderId="1" xfId="0" applyFont="1" applyBorder="1" applyAlignment="1">
      <alignment horizontal="centerContinuous" vertical="center" wrapText="1"/>
    </xf>
    <xf numFmtId="0" fontId="1" fillId="0" borderId="0" xfId="0" applyFont="1" applyAlignment="1">
      <alignment horizontal="centerContinuous" vertical="center" wrapText="1"/>
    </xf>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0" fontId="5" fillId="0" borderId="0" xfId="0" applyFont="1" applyAlignment="1">
      <alignment vertical="center"/>
    </xf>
    <xf numFmtId="0" fontId="5" fillId="0" borderId="0" xfId="0" applyFont="1"/>
    <xf numFmtId="0" fontId="6"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 xfId="0" quotePrefix="1" applyFont="1" applyBorder="1" applyAlignment="1">
      <alignment horizontal="center" vertical="center"/>
    </xf>
  </cellXfs>
  <cellStyles count="1">
    <cellStyle name="Bình thường"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workbookViewId="0">
      <selection activeCell="G7" sqref="G7"/>
    </sheetView>
  </sheetViews>
  <sheetFormatPr defaultRowHeight="15" x14ac:dyDescent="0.25"/>
  <cols>
    <col min="1" max="1" width="6.140625" customWidth="1"/>
    <col min="2" max="2" width="31.5703125" customWidth="1"/>
    <col min="3" max="3" width="11.5703125" customWidth="1"/>
    <col min="4" max="4" width="11.7109375" customWidth="1"/>
    <col min="5" max="6" width="10.5703125" customWidth="1"/>
    <col min="7" max="7" width="12.7109375" customWidth="1"/>
    <col min="8" max="10" width="11.7109375" customWidth="1"/>
    <col min="11" max="11" width="13.28515625" customWidth="1"/>
  </cols>
  <sheetData>
    <row r="1" spans="1:11" ht="15.75" x14ac:dyDescent="0.25">
      <c r="A1" s="20" t="s">
        <v>79</v>
      </c>
      <c r="B1" s="21"/>
      <c r="C1" s="21"/>
      <c r="D1" s="21"/>
      <c r="E1" s="21"/>
      <c r="F1" s="21"/>
      <c r="G1" s="21"/>
      <c r="H1" s="21"/>
      <c r="I1" s="21"/>
      <c r="J1" s="21"/>
      <c r="K1" s="21"/>
    </row>
    <row r="2" spans="1:11" ht="15.75" x14ac:dyDescent="0.25">
      <c r="A2" s="22" t="s">
        <v>50</v>
      </c>
      <c r="B2" s="21"/>
      <c r="C2" s="21"/>
      <c r="D2" s="21"/>
      <c r="E2" s="21"/>
      <c r="F2" s="21"/>
      <c r="G2" s="21"/>
      <c r="H2" s="21"/>
      <c r="I2" s="21"/>
      <c r="J2" s="21"/>
      <c r="K2" s="21"/>
    </row>
    <row r="3" spans="1:11" ht="63" x14ac:dyDescent="0.25">
      <c r="A3" s="1" t="s">
        <v>0</v>
      </c>
      <c r="B3" s="1" t="s">
        <v>1</v>
      </c>
      <c r="C3" s="1" t="s">
        <v>2</v>
      </c>
      <c r="D3" s="1" t="s">
        <v>48</v>
      </c>
      <c r="E3" s="1" t="s">
        <v>3</v>
      </c>
      <c r="F3" s="1" t="s">
        <v>4</v>
      </c>
      <c r="G3" s="1" t="s">
        <v>76</v>
      </c>
      <c r="H3" s="1" t="s">
        <v>5</v>
      </c>
      <c r="I3" s="1" t="s">
        <v>43</v>
      </c>
      <c r="J3" s="1" t="s">
        <v>45</v>
      </c>
      <c r="K3" s="1" t="s">
        <v>44</v>
      </c>
    </row>
    <row r="4" spans="1:11" ht="18.75" customHeight="1" x14ac:dyDescent="0.25">
      <c r="A4" s="23" t="s">
        <v>51</v>
      </c>
      <c r="B4" s="23"/>
      <c r="C4" s="1"/>
      <c r="D4" s="1"/>
      <c r="E4" s="1"/>
      <c r="F4" s="1"/>
      <c r="G4" s="1"/>
      <c r="H4" s="1"/>
      <c r="I4" s="1"/>
      <c r="J4" s="1"/>
      <c r="K4" s="4">
        <f>K5+K9</f>
        <v>8644.9338120619996</v>
      </c>
    </row>
    <row r="5" spans="1:11" ht="15.75" x14ac:dyDescent="0.25">
      <c r="A5" s="1" t="s">
        <v>6</v>
      </c>
      <c r="B5" s="2" t="s">
        <v>7</v>
      </c>
      <c r="C5" s="1"/>
      <c r="D5" s="3"/>
      <c r="E5" s="3"/>
      <c r="F5" s="3"/>
      <c r="G5" s="3"/>
      <c r="H5" s="4"/>
      <c r="I5" s="4"/>
      <c r="J5" s="16"/>
      <c r="K5" s="4">
        <f>K6+K7+K8</f>
        <v>8525</v>
      </c>
    </row>
    <row r="6" spans="1:11" ht="15.75" x14ac:dyDescent="0.25">
      <c r="A6" s="5">
        <v>1</v>
      </c>
      <c r="B6" s="6" t="s">
        <v>8</v>
      </c>
      <c r="C6" s="5" t="s">
        <v>47</v>
      </c>
      <c r="D6" s="7">
        <v>100000</v>
      </c>
      <c r="E6" s="7"/>
      <c r="F6" s="7"/>
      <c r="G6" s="7">
        <v>25000</v>
      </c>
      <c r="H6" s="7"/>
      <c r="I6" s="7">
        <f>G6</f>
        <v>25000</v>
      </c>
      <c r="J6" s="7">
        <v>300000</v>
      </c>
      <c r="K6" s="7">
        <f>I6*J6/1000000</f>
        <v>7500</v>
      </c>
    </row>
    <row r="7" spans="1:11" ht="31.5" x14ac:dyDescent="0.25">
      <c r="A7" s="5">
        <v>2</v>
      </c>
      <c r="B7" s="6" t="s">
        <v>9</v>
      </c>
      <c r="C7" s="5" t="s">
        <v>10</v>
      </c>
      <c r="D7" s="8">
        <v>0.2</v>
      </c>
      <c r="E7" s="8"/>
      <c r="F7" s="8"/>
      <c r="G7" s="7">
        <f>I6</f>
        <v>25000</v>
      </c>
      <c r="H7" s="7"/>
      <c r="I7" s="7">
        <f>D7*G7</f>
        <v>5000</v>
      </c>
      <c r="J7" s="7">
        <f>(4000+6000)/2</f>
        <v>5000</v>
      </c>
      <c r="K7" s="7">
        <f>I7*J7/1000000</f>
        <v>25</v>
      </c>
    </row>
    <row r="8" spans="1:11" ht="18.75" x14ac:dyDescent="0.25">
      <c r="A8" s="5">
        <v>3</v>
      </c>
      <c r="B8" s="6" t="s">
        <v>46</v>
      </c>
      <c r="C8" s="5" t="s">
        <v>55</v>
      </c>
      <c r="D8" s="8"/>
      <c r="E8" s="8"/>
      <c r="F8" s="8"/>
      <c r="G8" s="7">
        <v>2500</v>
      </c>
      <c r="H8" s="7"/>
      <c r="I8" s="7"/>
      <c r="J8" s="7">
        <v>400000</v>
      </c>
      <c r="K8" s="7">
        <f>G8*J8/1000000</f>
        <v>1000</v>
      </c>
    </row>
    <row r="9" spans="1:11" ht="15.75" x14ac:dyDescent="0.25">
      <c r="A9" s="1" t="s">
        <v>12</v>
      </c>
      <c r="B9" s="2" t="s">
        <v>13</v>
      </c>
      <c r="C9" s="1"/>
      <c r="D9" s="3"/>
      <c r="E9" s="3"/>
      <c r="F9" s="3"/>
      <c r="G9" s="3"/>
      <c r="H9" s="4">
        <f>H10+H24</f>
        <v>416.57400000000001</v>
      </c>
      <c r="I9" s="4"/>
      <c r="J9" s="16"/>
      <c r="K9" s="4">
        <f>K10+K24</f>
        <v>119.933812062</v>
      </c>
    </row>
    <row r="10" spans="1:11" ht="15.75" x14ac:dyDescent="0.25">
      <c r="A10" s="9">
        <v>1</v>
      </c>
      <c r="B10" s="10" t="s">
        <v>14</v>
      </c>
      <c r="C10" s="9"/>
      <c r="D10" s="11"/>
      <c r="E10" s="11"/>
      <c r="F10" s="11"/>
      <c r="G10" s="11"/>
      <c r="H10" s="12">
        <f>H11+H18+H21</f>
        <v>372.31400000000002</v>
      </c>
      <c r="I10" s="12"/>
      <c r="J10" s="17">
        <v>278843</v>
      </c>
      <c r="K10" s="12">
        <f>H10*J10/1000000</f>
        <v>103.817152702</v>
      </c>
    </row>
    <row r="11" spans="1:11" ht="15.75" x14ac:dyDescent="0.25">
      <c r="A11" s="5" t="s">
        <v>15</v>
      </c>
      <c r="B11" s="6" t="s">
        <v>16</v>
      </c>
      <c r="C11" s="5"/>
      <c r="D11" s="13"/>
      <c r="E11" s="13"/>
      <c r="F11" s="13"/>
      <c r="G11" s="13"/>
      <c r="H11" s="14">
        <f>H12+H15</f>
        <v>276.738</v>
      </c>
      <c r="I11" s="14"/>
      <c r="J11" s="7"/>
      <c r="K11" s="14"/>
    </row>
    <row r="12" spans="1:11" ht="15.75" x14ac:dyDescent="0.25">
      <c r="A12" s="5" t="s">
        <v>17</v>
      </c>
      <c r="B12" s="6" t="s">
        <v>18</v>
      </c>
      <c r="C12" s="5"/>
      <c r="D12" s="13"/>
      <c r="E12" s="13"/>
      <c r="F12" s="13"/>
      <c r="G12" s="13"/>
      <c r="H12" s="14">
        <f>SUM(H13:H14)</f>
        <v>228.95</v>
      </c>
      <c r="I12" s="14"/>
      <c r="J12" s="7"/>
      <c r="K12" s="14"/>
    </row>
    <row r="13" spans="1:11" ht="31.5" x14ac:dyDescent="0.25">
      <c r="A13" s="15" t="s">
        <v>19</v>
      </c>
      <c r="B13" s="6" t="s">
        <v>20</v>
      </c>
      <c r="C13" s="5" t="s">
        <v>21</v>
      </c>
      <c r="D13" s="14">
        <v>5.88</v>
      </c>
      <c r="E13" s="14">
        <v>0.9</v>
      </c>
      <c r="F13" s="14">
        <v>0.92</v>
      </c>
      <c r="G13" s="7">
        <f>I6</f>
        <v>25000</v>
      </c>
      <c r="H13" s="14">
        <f>ROUND(D13/1000*E13*F13*G13, 2)</f>
        <v>121.72</v>
      </c>
      <c r="I13" s="14"/>
      <c r="J13" s="7"/>
      <c r="K13" s="14"/>
    </row>
    <row r="14" spans="1:11" ht="31.5" x14ac:dyDescent="0.25">
      <c r="A14" s="15" t="s">
        <v>19</v>
      </c>
      <c r="B14" s="6" t="s">
        <v>22</v>
      </c>
      <c r="C14" s="5" t="s">
        <v>21</v>
      </c>
      <c r="D14" s="14">
        <v>5.18</v>
      </c>
      <c r="E14" s="14">
        <v>0.9</v>
      </c>
      <c r="F14" s="14">
        <v>0.92</v>
      </c>
      <c r="G14" s="7">
        <f>I6</f>
        <v>25000</v>
      </c>
      <c r="H14" s="14">
        <f>ROUND(D14/1000*E14*F14*G14, 2)</f>
        <v>107.23</v>
      </c>
      <c r="I14" s="14"/>
      <c r="J14" s="7"/>
      <c r="K14" s="14"/>
    </row>
    <row r="15" spans="1:11" ht="15.75" x14ac:dyDescent="0.25">
      <c r="A15" s="5" t="s">
        <v>23</v>
      </c>
      <c r="B15" s="6" t="s">
        <v>24</v>
      </c>
      <c r="C15" s="5"/>
      <c r="D15" s="14"/>
      <c r="E15" s="14"/>
      <c r="F15" s="14"/>
      <c r="G15" s="18"/>
      <c r="H15" s="14">
        <f>SUM(H16:H17)</f>
        <v>47.788000000000004</v>
      </c>
      <c r="I15" s="14"/>
      <c r="J15" s="7"/>
      <c r="K15" s="14"/>
    </row>
    <row r="16" spans="1:11" ht="34.5" x14ac:dyDescent="0.25">
      <c r="A16" s="15" t="s">
        <v>19</v>
      </c>
      <c r="B16" s="6" t="s">
        <v>25</v>
      </c>
      <c r="C16" s="5" t="s">
        <v>26</v>
      </c>
      <c r="D16" s="14">
        <v>51</v>
      </c>
      <c r="E16" s="14"/>
      <c r="F16" s="14"/>
      <c r="G16" s="7">
        <f>1000*0.6</f>
        <v>600</v>
      </c>
      <c r="H16" s="14">
        <f>ROUND(G16/D16*4, 2)</f>
        <v>47.06</v>
      </c>
      <c r="I16" s="14"/>
      <c r="J16" s="7"/>
      <c r="K16" s="14"/>
    </row>
    <row r="17" spans="1:11" ht="15.75" x14ac:dyDescent="0.25">
      <c r="A17" s="15" t="s">
        <v>19</v>
      </c>
      <c r="B17" s="6" t="s">
        <v>27</v>
      </c>
      <c r="C17" s="5" t="s">
        <v>28</v>
      </c>
      <c r="D17" s="14">
        <v>7.28</v>
      </c>
      <c r="E17" s="14"/>
      <c r="F17" s="14"/>
      <c r="G17" s="14">
        <v>0.1</v>
      </c>
      <c r="H17" s="14">
        <f>D17*G17</f>
        <v>0.72800000000000009</v>
      </c>
      <c r="I17" s="14"/>
      <c r="J17" s="7"/>
      <c r="K17" s="14"/>
    </row>
    <row r="18" spans="1:11" ht="15.75" x14ac:dyDescent="0.25">
      <c r="A18" s="5" t="s">
        <v>29</v>
      </c>
      <c r="B18" s="6" t="s">
        <v>30</v>
      </c>
      <c r="C18" s="5"/>
      <c r="D18" s="14"/>
      <c r="E18" s="14"/>
      <c r="F18" s="14"/>
      <c r="G18" s="13"/>
      <c r="H18" s="14">
        <f>SUM(H19:H20)</f>
        <v>47.788000000000004</v>
      </c>
      <c r="I18" s="14"/>
      <c r="J18" s="7"/>
      <c r="K18" s="14"/>
    </row>
    <row r="19" spans="1:11" ht="31.5" x14ac:dyDescent="0.25">
      <c r="A19" s="15" t="s">
        <v>19</v>
      </c>
      <c r="B19" s="6" t="s">
        <v>25</v>
      </c>
      <c r="C19" s="5" t="s">
        <v>31</v>
      </c>
      <c r="D19" s="14">
        <v>51</v>
      </c>
      <c r="E19" s="14"/>
      <c r="F19" s="14"/>
      <c r="G19" s="7">
        <f>$G$16</f>
        <v>600</v>
      </c>
      <c r="H19" s="14">
        <f>ROUND(G19/D19*4, 2)</f>
        <v>47.06</v>
      </c>
      <c r="I19" s="14"/>
      <c r="J19" s="7"/>
      <c r="K19" s="14"/>
    </row>
    <row r="20" spans="1:11" ht="15.75" x14ac:dyDescent="0.25">
      <c r="A20" s="15" t="s">
        <v>19</v>
      </c>
      <c r="B20" s="6" t="s">
        <v>27</v>
      </c>
      <c r="C20" s="5" t="s">
        <v>28</v>
      </c>
      <c r="D20" s="14">
        <v>7.28</v>
      </c>
      <c r="E20" s="14"/>
      <c r="F20" s="14"/>
      <c r="G20" s="14">
        <v>0.1</v>
      </c>
      <c r="H20" s="14">
        <f>D20*G20</f>
        <v>0.72800000000000009</v>
      </c>
      <c r="I20" s="14"/>
      <c r="J20" s="7"/>
      <c r="K20" s="14"/>
    </row>
    <row r="21" spans="1:11" ht="15.75" x14ac:dyDescent="0.25">
      <c r="A21" s="5" t="s">
        <v>32</v>
      </c>
      <c r="B21" s="6" t="s">
        <v>33</v>
      </c>
      <c r="C21" s="5"/>
      <c r="D21" s="14"/>
      <c r="E21" s="14"/>
      <c r="F21" s="14"/>
      <c r="G21" s="14"/>
      <c r="H21" s="14">
        <f>SUM(H22:H23)</f>
        <v>47.788000000000004</v>
      </c>
      <c r="I21" s="14"/>
      <c r="J21" s="7"/>
      <c r="K21" s="14"/>
    </row>
    <row r="22" spans="1:11" ht="31.5" x14ac:dyDescent="0.25">
      <c r="A22" s="15" t="s">
        <v>19</v>
      </c>
      <c r="B22" s="6" t="s">
        <v>25</v>
      </c>
      <c r="C22" s="5" t="s">
        <v>31</v>
      </c>
      <c r="D22" s="14">
        <v>51</v>
      </c>
      <c r="E22" s="14"/>
      <c r="F22" s="14"/>
      <c r="G22" s="7">
        <f>$G$16</f>
        <v>600</v>
      </c>
      <c r="H22" s="14">
        <f>ROUND(G22/D22*4, 2)</f>
        <v>47.06</v>
      </c>
      <c r="I22" s="14"/>
      <c r="J22" s="7"/>
      <c r="K22" s="14"/>
    </row>
    <row r="23" spans="1:11" ht="15.75" x14ac:dyDescent="0.25">
      <c r="A23" s="15" t="s">
        <v>19</v>
      </c>
      <c r="B23" s="6" t="s">
        <v>27</v>
      </c>
      <c r="C23" s="5" t="s">
        <v>28</v>
      </c>
      <c r="D23" s="14">
        <v>7.28</v>
      </c>
      <c r="E23" s="14"/>
      <c r="F23" s="14"/>
      <c r="G23" s="14">
        <v>0.1</v>
      </c>
      <c r="H23" s="14">
        <f>D23*G23</f>
        <v>0.72800000000000009</v>
      </c>
      <c r="I23" s="14"/>
      <c r="J23" s="7"/>
      <c r="K23" s="14"/>
    </row>
    <row r="24" spans="1:11" ht="15.75" x14ac:dyDescent="0.25">
      <c r="A24" s="9">
        <v>2</v>
      </c>
      <c r="B24" s="10" t="s">
        <v>34</v>
      </c>
      <c r="C24" s="9"/>
      <c r="D24" s="12"/>
      <c r="E24" s="12"/>
      <c r="F24" s="12"/>
      <c r="G24" s="11"/>
      <c r="H24" s="12">
        <f>H25+H28+H29</f>
        <v>44.260000000000005</v>
      </c>
      <c r="I24" s="12"/>
      <c r="J24" s="17">
        <v>364136</v>
      </c>
      <c r="K24" s="12">
        <f>H24*J24/1000000</f>
        <v>16.11665936</v>
      </c>
    </row>
    <row r="25" spans="1:11" ht="15.75" x14ac:dyDescent="0.25">
      <c r="A25" s="5" t="s">
        <v>35</v>
      </c>
      <c r="B25" s="6" t="s">
        <v>16</v>
      </c>
      <c r="C25" s="5"/>
      <c r="D25" s="14"/>
      <c r="E25" s="14"/>
      <c r="F25" s="14"/>
      <c r="G25" s="13"/>
      <c r="H25" s="14">
        <f>H26+H27</f>
        <v>34.700000000000003</v>
      </c>
      <c r="I25" s="14"/>
      <c r="J25" s="7"/>
      <c r="K25" s="14"/>
    </row>
    <row r="26" spans="1:11" ht="15.75" x14ac:dyDescent="0.25">
      <c r="A26" s="15" t="s">
        <v>19</v>
      </c>
      <c r="B26" s="6" t="s">
        <v>36</v>
      </c>
      <c r="C26" s="5" t="s">
        <v>37</v>
      </c>
      <c r="D26" s="14">
        <v>7.03</v>
      </c>
      <c r="E26" s="14"/>
      <c r="F26" s="14"/>
      <c r="G26" s="14">
        <v>1</v>
      </c>
      <c r="H26" s="14">
        <f>D26*G26</f>
        <v>7.03</v>
      </c>
      <c r="I26" s="14"/>
      <c r="J26" s="7"/>
      <c r="K26" s="14"/>
    </row>
    <row r="27" spans="1:11" ht="31.5" x14ac:dyDescent="0.25">
      <c r="A27" s="15" t="s">
        <v>19</v>
      </c>
      <c r="B27" s="6" t="s">
        <v>38</v>
      </c>
      <c r="C27" s="5" t="s">
        <v>11</v>
      </c>
      <c r="D27" s="7">
        <v>10</v>
      </c>
      <c r="E27" s="7"/>
      <c r="F27" s="7"/>
      <c r="G27" s="14">
        <f>H11</f>
        <v>276.738</v>
      </c>
      <c r="H27" s="14">
        <f>ROUND(D27%*G27, 2)</f>
        <v>27.67</v>
      </c>
      <c r="I27" s="14"/>
      <c r="J27" s="7"/>
      <c r="K27" s="14"/>
    </row>
    <row r="28" spans="1:11" ht="47.25" x14ac:dyDescent="0.25">
      <c r="A28" s="5" t="s">
        <v>39</v>
      </c>
      <c r="B28" s="6" t="s">
        <v>40</v>
      </c>
      <c r="C28" s="5" t="s">
        <v>11</v>
      </c>
      <c r="D28" s="7">
        <v>10</v>
      </c>
      <c r="E28" s="7"/>
      <c r="F28" s="7"/>
      <c r="G28" s="14">
        <f>H18</f>
        <v>47.788000000000004</v>
      </c>
      <c r="H28" s="14">
        <f t="shared" ref="H28:H29" si="0">ROUND(D28%*G28, 2)</f>
        <v>4.78</v>
      </c>
      <c r="I28" s="14"/>
      <c r="J28" s="7"/>
      <c r="K28" s="14"/>
    </row>
    <row r="29" spans="1:11" ht="47.25" x14ac:dyDescent="0.25">
      <c r="A29" s="5" t="s">
        <v>41</v>
      </c>
      <c r="B29" s="6" t="s">
        <v>42</v>
      </c>
      <c r="C29" s="5" t="s">
        <v>11</v>
      </c>
      <c r="D29" s="7">
        <v>10</v>
      </c>
      <c r="E29" s="7"/>
      <c r="F29" s="7"/>
      <c r="G29" s="14">
        <f>H21</f>
        <v>47.788000000000004</v>
      </c>
      <c r="H29" s="14">
        <f t="shared" si="0"/>
        <v>4.78</v>
      </c>
      <c r="I29" s="14"/>
      <c r="J29" s="7"/>
      <c r="K29" s="14"/>
    </row>
    <row r="31" spans="1:11" s="30" customFormat="1" ht="39.6" customHeight="1" x14ac:dyDescent="0.25">
      <c r="A31" s="29"/>
      <c r="B31" s="31" t="s">
        <v>78</v>
      </c>
      <c r="C31" s="31"/>
      <c r="D31" s="31"/>
      <c r="E31" s="31"/>
      <c r="F31" s="31"/>
      <c r="G31" s="31"/>
      <c r="H31" s="31"/>
      <c r="I31" s="31"/>
      <c r="J31" s="31"/>
      <c r="K31" s="31"/>
    </row>
  </sheetData>
  <mergeCells count="1">
    <mergeCell ref="B31:K31"/>
  </mergeCells>
  <printOptions horizontalCentered="1"/>
  <pageMargins left="0.19685039370078741" right="0.19685039370078741" top="0.39370078740157483" bottom="0.39370078740157483" header="0.11811023622047245" footer="0.11811023622047245"/>
  <pageSetup paperSize="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0BCB-448D-472B-AA3C-A92C4B8B123A}">
  <sheetPr>
    <pageSetUpPr fitToPage="1"/>
  </sheetPr>
  <dimension ref="A1:H10"/>
  <sheetViews>
    <sheetView workbookViewId="0">
      <selection activeCell="H10" activeCellId="1" sqref="H8 H10"/>
    </sheetView>
  </sheetViews>
  <sheetFormatPr defaultRowHeight="15" x14ac:dyDescent="0.25"/>
  <cols>
    <col min="1" max="1" width="5.28515625" customWidth="1"/>
    <col min="2" max="2" width="26.42578125" customWidth="1"/>
    <col min="3" max="3" width="11.5703125" customWidth="1"/>
    <col min="4" max="4" width="11.7109375" customWidth="1"/>
    <col min="5" max="5" width="12.7109375" customWidth="1"/>
    <col min="6" max="7" width="11.7109375" customWidth="1"/>
    <col min="8" max="8" width="13.28515625" customWidth="1"/>
  </cols>
  <sheetData>
    <row r="1" spans="1:8" ht="35.25" customHeight="1" x14ac:dyDescent="0.25">
      <c r="A1" s="24" t="s">
        <v>77</v>
      </c>
      <c r="B1" s="21"/>
      <c r="C1" s="21"/>
      <c r="D1" s="21"/>
      <c r="E1" s="21"/>
      <c r="F1" s="21"/>
      <c r="G1" s="21"/>
      <c r="H1" s="21"/>
    </row>
    <row r="2" spans="1:8" ht="15.75" x14ac:dyDescent="0.25">
      <c r="A2" s="22" t="s">
        <v>50</v>
      </c>
      <c r="B2" s="21"/>
      <c r="C2" s="21"/>
      <c r="D2" s="21"/>
      <c r="E2" s="21"/>
      <c r="F2" s="21"/>
      <c r="G2" s="21"/>
      <c r="H2" s="21"/>
    </row>
    <row r="3" spans="1:8" ht="31.5" x14ac:dyDescent="0.25">
      <c r="A3" s="1" t="s">
        <v>0</v>
      </c>
      <c r="B3" s="1" t="s">
        <v>53</v>
      </c>
      <c r="C3" s="1" t="s">
        <v>2</v>
      </c>
      <c r="D3" s="1" t="s">
        <v>48</v>
      </c>
      <c r="E3" s="1" t="s">
        <v>49</v>
      </c>
      <c r="F3" s="1" t="s">
        <v>43</v>
      </c>
      <c r="G3" s="1" t="s">
        <v>45</v>
      </c>
      <c r="H3" s="1" t="s">
        <v>44</v>
      </c>
    </row>
    <row r="4" spans="1:8" ht="18.75" customHeight="1" x14ac:dyDescent="0.25">
      <c r="A4" s="23" t="s">
        <v>51</v>
      </c>
      <c r="B4" s="23"/>
      <c r="C4" s="1"/>
      <c r="D4" s="1"/>
      <c r="E4" s="1"/>
      <c r="F4" s="1"/>
      <c r="G4" s="1"/>
      <c r="H4" s="16">
        <f>H5+H9</f>
        <v>9725</v>
      </c>
    </row>
    <row r="5" spans="1:8" ht="15.75" x14ac:dyDescent="0.25">
      <c r="A5" s="1" t="s">
        <v>6</v>
      </c>
      <c r="B5" s="2" t="s">
        <v>52</v>
      </c>
      <c r="C5" s="1"/>
      <c r="D5" s="3"/>
      <c r="E5" s="3"/>
      <c r="F5" s="4"/>
      <c r="G5" s="16"/>
      <c r="H5" s="16">
        <f>H6+H7+H8</f>
        <v>8525</v>
      </c>
    </row>
    <row r="6" spans="1:8" ht="15.75" x14ac:dyDescent="0.25">
      <c r="A6" s="5">
        <v>1</v>
      </c>
      <c r="B6" s="6" t="s">
        <v>8</v>
      </c>
      <c r="C6" s="5" t="s">
        <v>47</v>
      </c>
      <c r="D6" s="7">
        <v>100000</v>
      </c>
      <c r="E6" s="7">
        <f>D6*0.25</f>
        <v>25000</v>
      </c>
      <c r="F6" s="7">
        <f>E6</f>
        <v>25000</v>
      </c>
      <c r="G6" s="7">
        <v>300000</v>
      </c>
      <c r="H6" s="7">
        <f>F6*G6/1000000</f>
        <v>7500</v>
      </c>
    </row>
    <row r="7" spans="1:8" ht="31.5" x14ac:dyDescent="0.25">
      <c r="A7" s="5">
        <v>2</v>
      </c>
      <c r="B7" s="6" t="s">
        <v>9</v>
      </c>
      <c r="C7" s="5" t="s">
        <v>10</v>
      </c>
      <c r="D7" s="8">
        <v>0.2</v>
      </c>
      <c r="E7" s="7">
        <f>F6</f>
        <v>25000</v>
      </c>
      <c r="F7" s="7">
        <f>D7*E7</f>
        <v>5000</v>
      </c>
      <c r="G7" s="7">
        <f>(4000+6000)/2</f>
        <v>5000</v>
      </c>
      <c r="H7" s="7">
        <f>F7*G7/1000000</f>
        <v>25</v>
      </c>
    </row>
    <row r="8" spans="1:8" ht="18.75" x14ac:dyDescent="0.25">
      <c r="A8" s="5">
        <v>3</v>
      </c>
      <c r="B8" s="6" t="s">
        <v>46</v>
      </c>
      <c r="C8" s="5" t="s">
        <v>55</v>
      </c>
      <c r="D8" s="8"/>
      <c r="E8" s="7">
        <v>2500</v>
      </c>
      <c r="F8" s="7"/>
      <c r="G8" s="7">
        <v>400000</v>
      </c>
      <c r="H8" s="7">
        <f>E8*G8/1000000</f>
        <v>1000</v>
      </c>
    </row>
    <row r="9" spans="1:8" ht="32.25" customHeight="1" x14ac:dyDescent="0.25">
      <c r="A9" s="1" t="s">
        <v>12</v>
      </c>
      <c r="B9" s="2" t="s">
        <v>54</v>
      </c>
      <c r="C9" s="1"/>
      <c r="D9" s="3"/>
      <c r="E9" s="3"/>
      <c r="F9" s="4"/>
      <c r="G9" s="16"/>
      <c r="H9" s="16">
        <f>H10</f>
        <v>1200</v>
      </c>
    </row>
    <row r="10" spans="1:8" ht="18.75" x14ac:dyDescent="0.25">
      <c r="A10" s="5">
        <v>1</v>
      </c>
      <c r="B10" s="6" t="s">
        <v>46</v>
      </c>
      <c r="C10" s="5" t="s">
        <v>55</v>
      </c>
      <c r="D10" s="13"/>
      <c r="E10" s="7">
        <v>3000</v>
      </c>
      <c r="F10" s="14"/>
      <c r="G10" s="7">
        <v>400000</v>
      </c>
      <c r="H10" s="7">
        <f>E10*G10/1000000</f>
        <v>1200</v>
      </c>
    </row>
  </sheetData>
  <printOptions horizontalCentered="1"/>
  <pageMargins left="0.19685039370078741" right="0.19685039370078741" top="0.19685039370078741" bottom="0.19685039370078741" header="0.11811023622047245" footer="0.11811023622047245"/>
  <pageSetup paperSize="9" scale="95"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60E5-2183-46B9-B0E6-AE62CCF9114E}">
  <dimension ref="A1:J12"/>
  <sheetViews>
    <sheetView tabSelected="1" workbookViewId="0">
      <selection activeCell="G6" sqref="G6"/>
    </sheetView>
  </sheetViews>
  <sheetFormatPr defaultColWidth="9.140625" defaultRowHeight="15.75" x14ac:dyDescent="0.25"/>
  <cols>
    <col min="1" max="1" width="4.5703125" style="19" customWidth="1"/>
    <col min="2" max="2" width="37.42578125" style="19" customWidth="1"/>
    <col min="3" max="8" width="11.28515625" style="19" customWidth="1"/>
    <col min="9" max="9" width="17.7109375" style="19" customWidth="1"/>
    <col min="10" max="10" width="12.5703125" style="19" customWidth="1"/>
    <col min="11" max="16384" width="9.140625" style="19"/>
  </cols>
  <sheetData>
    <row r="1" spans="1:10" ht="18" customHeight="1" x14ac:dyDescent="0.25">
      <c r="A1" s="20" t="s">
        <v>56</v>
      </c>
      <c r="B1" s="21"/>
      <c r="C1" s="21"/>
      <c r="D1" s="21"/>
      <c r="E1" s="21"/>
      <c r="F1" s="21"/>
      <c r="G1" s="21"/>
      <c r="H1" s="21"/>
      <c r="I1" s="21"/>
      <c r="J1" s="21"/>
    </row>
    <row r="2" spans="1:10" ht="18" customHeight="1" x14ac:dyDescent="0.25">
      <c r="A2" s="22" t="s">
        <v>57</v>
      </c>
      <c r="B2" s="21"/>
      <c r="C2" s="21"/>
      <c r="D2" s="21"/>
      <c r="E2" s="21"/>
      <c r="F2" s="21"/>
      <c r="G2" s="21"/>
      <c r="H2" s="21"/>
      <c r="I2" s="21"/>
      <c r="J2" s="21"/>
    </row>
    <row r="3" spans="1:10" ht="26.25" customHeight="1" x14ac:dyDescent="0.25">
      <c r="A3" s="32" t="s">
        <v>0</v>
      </c>
      <c r="B3" s="32" t="s">
        <v>58</v>
      </c>
      <c r="C3" s="34" t="s">
        <v>59</v>
      </c>
      <c r="D3" s="35"/>
      <c r="E3" s="35"/>
      <c r="F3" s="35"/>
      <c r="G3" s="35"/>
      <c r="H3" s="36"/>
      <c r="I3" s="34" t="s">
        <v>60</v>
      </c>
      <c r="J3" s="36"/>
    </row>
    <row r="4" spans="1:10" ht="63" x14ac:dyDescent="0.25">
      <c r="A4" s="33"/>
      <c r="B4" s="33"/>
      <c r="C4" s="1" t="s">
        <v>65</v>
      </c>
      <c r="D4" s="1" t="s">
        <v>66</v>
      </c>
      <c r="E4" s="1" t="s">
        <v>67</v>
      </c>
      <c r="F4" s="1" t="s">
        <v>68</v>
      </c>
      <c r="G4" s="1" t="s">
        <v>69</v>
      </c>
      <c r="H4" s="1" t="s">
        <v>70</v>
      </c>
      <c r="I4" s="1" t="s">
        <v>61</v>
      </c>
      <c r="J4" s="1" t="s">
        <v>71</v>
      </c>
    </row>
    <row r="5" spans="1:10" s="25" customFormat="1" ht="27" customHeight="1" x14ac:dyDescent="0.25">
      <c r="A5" s="23" t="s">
        <v>51</v>
      </c>
      <c r="B5" s="23"/>
      <c r="C5" s="16">
        <f t="shared" ref="C5:H5" si="0">C6+SUM(C9:C12)</f>
        <v>5</v>
      </c>
      <c r="D5" s="16">
        <f>D6+SUM(D9:D12)</f>
        <v>2</v>
      </c>
      <c r="E5" s="16">
        <f t="shared" si="0"/>
        <v>6</v>
      </c>
      <c r="F5" s="16">
        <f t="shared" si="0"/>
        <v>1000</v>
      </c>
      <c r="G5" s="16">
        <f t="shared" si="0"/>
        <v>15</v>
      </c>
      <c r="H5" s="16">
        <f t="shared" si="0"/>
        <v>200</v>
      </c>
      <c r="I5" s="16"/>
      <c r="J5" s="16">
        <f>J6+SUM(J9:J12)</f>
        <v>163000</v>
      </c>
    </row>
    <row r="6" spans="1:10" ht="78.75" x14ac:dyDescent="0.25">
      <c r="A6" s="26">
        <v>1</v>
      </c>
      <c r="B6" s="27" t="s">
        <v>62</v>
      </c>
      <c r="C6" s="28">
        <f>SUM(C7:C8)</f>
        <v>5</v>
      </c>
      <c r="D6" s="28">
        <f>SUM(D7:D8)</f>
        <v>2</v>
      </c>
      <c r="E6" s="28"/>
      <c r="F6" s="28"/>
      <c r="G6" s="28"/>
      <c r="H6" s="28"/>
      <c r="I6" s="7" t="s">
        <v>80</v>
      </c>
      <c r="J6" s="28">
        <f>SUM(J7:J8)</f>
        <v>6000</v>
      </c>
    </row>
    <row r="7" spans="1:10" ht="31.5" x14ac:dyDescent="0.25">
      <c r="A7" s="37" t="s">
        <v>19</v>
      </c>
      <c r="B7" s="27" t="s">
        <v>83</v>
      </c>
      <c r="C7" s="28">
        <v>5</v>
      </c>
      <c r="D7" s="28"/>
      <c r="E7" s="28"/>
      <c r="F7" s="28"/>
      <c r="G7" s="28"/>
      <c r="H7" s="28"/>
      <c r="I7" s="7" t="s">
        <v>85</v>
      </c>
      <c r="J7" s="7">
        <f>5*1000</f>
        <v>5000</v>
      </c>
    </row>
    <row r="8" spans="1:10" ht="47.25" x14ac:dyDescent="0.25">
      <c r="A8" s="37" t="s">
        <v>19</v>
      </c>
      <c r="B8" s="27" t="s">
        <v>84</v>
      </c>
      <c r="C8" s="28"/>
      <c r="D8" s="28">
        <v>2</v>
      </c>
      <c r="E8" s="28"/>
      <c r="F8" s="28"/>
      <c r="G8" s="28"/>
      <c r="H8" s="28"/>
      <c r="I8" s="7" t="s">
        <v>86</v>
      </c>
      <c r="J8" s="7">
        <f>2*500</f>
        <v>1000</v>
      </c>
    </row>
    <row r="9" spans="1:10" ht="31.5" x14ac:dyDescent="0.25">
      <c r="A9" s="26">
        <v>2</v>
      </c>
      <c r="B9" s="27" t="s">
        <v>63</v>
      </c>
      <c r="C9" s="28"/>
      <c r="D9" s="28"/>
      <c r="E9" s="28">
        <v>6</v>
      </c>
      <c r="F9" s="28"/>
      <c r="G9" s="28"/>
      <c r="H9" s="28"/>
      <c r="I9" s="7" t="s">
        <v>81</v>
      </c>
      <c r="J9" s="7">
        <f>6*2000</f>
        <v>12000</v>
      </c>
    </row>
    <row r="10" spans="1:10" ht="63" x14ac:dyDescent="0.25">
      <c r="A10" s="26">
        <v>3</v>
      </c>
      <c r="B10" s="27" t="s">
        <v>74</v>
      </c>
      <c r="C10" s="28"/>
      <c r="D10" s="28"/>
      <c r="E10" s="28"/>
      <c r="F10" s="28">
        <v>1000</v>
      </c>
      <c r="G10" s="28"/>
      <c r="H10" s="28"/>
      <c r="I10" s="7" t="s">
        <v>82</v>
      </c>
      <c r="J10" s="7">
        <f>1000*(60+20)/2</f>
        <v>40000</v>
      </c>
    </row>
    <row r="11" spans="1:10" ht="31.5" x14ac:dyDescent="0.25">
      <c r="A11" s="26">
        <v>4</v>
      </c>
      <c r="B11" s="27" t="s">
        <v>64</v>
      </c>
      <c r="C11" s="28"/>
      <c r="D11" s="28"/>
      <c r="E11" s="28"/>
      <c r="F11" s="28"/>
      <c r="G11" s="28">
        <v>15</v>
      </c>
      <c r="H11" s="28"/>
      <c r="I11" s="7" t="s">
        <v>72</v>
      </c>
      <c r="J11" s="7">
        <f>15*1000</f>
        <v>15000</v>
      </c>
    </row>
    <row r="12" spans="1:10" ht="63" x14ac:dyDescent="0.25">
      <c r="A12" s="26">
        <v>5</v>
      </c>
      <c r="B12" s="27" t="s">
        <v>75</v>
      </c>
      <c r="C12" s="28"/>
      <c r="D12" s="28"/>
      <c r="E12" s="28"/>
      <c r="F12" s="28"/>
      <c r="G12" s="28"/>
      <c r="H12" s="28">
        <v>200</v>
      </c>
      <c r="I12" s="7" t="s">
        <v>73</v>
      </c>
      <c r="J12" s="7">
        <f>200*450</f>
        <v>90000</v>
      </c>
    </row>
  </sheetData>
  <mergeCells count="4">
    <mergeCell ref="A3:A4"/>
    <mergeCell ref="B3:B4"/>
    <mergeCell ref="C3:H3"/>
    <mergeCell ref="I3:J3"/>
  </mergeCells>
  <printOptions horizontalCentered="1"/>
  <pageMargins left="0.19685039370078741" right="0.19685039370078741" top="0.39370078740157483" bottom="0.39370078740157483"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vt:i4>
      </vt:variant>
      <vt:variant>
        <vt:lpstr>Phạm vi Có tên</vt:lpstr>
      </vt:variant>
      <vt:variant>
        <vt:i4>2</vt:i4>
      </vt:variant>
    </vt:vector>
  </HeadingPairs>
  <TitlesOfParts>
    <vt:vector size="5" baseType="lpstr">
      <vt:lpstr>DT-VGG</vt:lpstr>
      <vt:lpstr>DT-CSSXG</vt:lpstr>
      <vt:lpstr>DK-Nhucau</vt:lpstr>
      <vt:lpstr>'DK-Nhucau'!Print_Titles</vt:lpstr>
      <vt:lpstr>'DT-VGG'!Print_Titles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TTVScCarrier</dc:creator>
  <cp:lastModifiedBy>Pulsar TTV</cp:lastModifiedBy>
  <cp:lastPrinted>2025-08-19T08:18:58Z</cp:lastPrinted>
  <dcterms:created xsi:type="dcterms:W3CDTF">2015-06-05T18:19:34Z</dcterms:created>
  <dcterms:modified xsi:type="dcterms:W3CDTF">2025-08-19T14:01:23Z</dcterms:modified>
</cp:coreProperties>
</file>